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\Documents\"/>
    </mc:Choice>
  </mc:AlternateContent>
  <xr:revisionPtr revIDLastSave="0" documentId="13_ncr:1_{C456CF83-FCCE-4D33-9AAE-47F92BAC7E49}" xr6:coauthVersionLast="45" xr6:coauthVersionMax="45" xr10:uidLastSave="{00000000-0000-0000-0000-000000000000}"/>
  <bookViews>
    <workbookView xWindow="-103" yWindow="-103" windowWidth="25920" windowHeight="16749" xr2:uid="{ECD85B8B-0010-4020-80DB-525EE3D5C67D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4" i="1" l="1"/>
  <c r="K15" i="1"/>
  <c r="K16" i="1"/>
  <c r="K17" i="1"/>
  <c r="K18" i="1"/>
  <c r="K19" i="1"/>
  <c r="K20" i="1"/>
  <c r="K21" i="1"/>
  <c r="K22" i="1"/>
  <c r="G9" i="1"/>
  <c r="F9" i="1"/>
  <c r="F34" i="1" s="1"/>
  <c r="G34" i="1"/>
  <c r="E34" i="1"/>
  <c r="G33" i="1"/>
  <c r="E33" i="1"/>
  <c r="G32" i="1"/>
  <c r="E32" i="1"/>
  <c r="G31" i="1"/>
  <c r="E31" i="1"/>
  <c r="G30" i="1"/>
  <c r="E30" i="1"/>
  <c r="G29" i="1"/>
  <c r="E29" i="1"/>
  <c r="G28" i="1"/>
  <c r="E28" i="1"/>
  <c r="G27" i="1"/>
  <c r="E27" i="1"/>
  <c r="G26" i="1"/>
  <c r="E26" i="1"/>
  <c r="G25" i="1"/>
  <c r="E25" i="1"/>
  <c r="G24" i="1"/>
  <c r="E24" i="1"/>
  <c r="G23" i="1"/>
  <c r="E23" i="1"/>
  <c r="G22" i="1"/>
  <c r="E22" i="1"/>
  <c r="G21" i="1"/>
  <c r="E21" i="1"/>
  <c r="G20" i="1"/>
  <c r="E20" i="1"/>
  <c r="G19" i="1"/>
  <c r="E19" i="1"/>
  <c r="G18" i="1"/>
  <c r="E18" i="1"/>
  <c r="G17" i="1"/>
  <c r="E17" i="1"/>
  <c r="G16" i="1"/>
  <c r="E16" i="1"/>
  <c r="G15" i="1"/>
  <c r="E15" i="1"/>
  <c r="G14" i="1"/>
  <c r="E14" i="1"/>
  <c r="F27" i="1" l="1"/>
  <c r="F31" i="1"/>
  <c r="F16" i="1"/>
  <c r="F15" i="1"/>
  <c r="F24" i="1"/>
  <c r="F23" i="1"/>
  <c r="F32" i="1"/>
  <c r="F19" i="1"/>
  <c r="F28" i="1"/>
  <c r="F20" i="1"/>
  <c r="F17" i="1"/>
  <c r="F21" i="1"/>
  <c r="F25" i="1"/>
  <c r="F29" i="1"/>
  <c r="F33" i="1"/>
  <c r="F14" i="1"/>
  <c r="F18" i="1"/>
  <c r="F22" i="1"/>
  <c r="F26" i="1"/>
  <c r="F30" i="1"/>
  <c r="F5" i="1"/>
  <c r="H9" i="1" s="1"/>
  <c r="L21" i="1" l="1"/>
  <c r="J9" i="1"/>
  <c r="K9" i="1" s="1"/>
  <c r="K26" i="1"/>
  <c r="L26" i="1" s="1"/>
  <c r="K30" i="1"/>
  <c r="L30" i="1" s="1"/>
  <c r="K34" i="1"/>
  <c r="L34" i="1" s="1"/>
  <c r="L22" i="1"/>
  <c r="L19" i="1"/>
  <c r="L16" i="1"/>
  <c r="L20" i="1"/>
  <c r="K23" i="1"/>
  <c r="K27" i="1"/>
  <c r="L27" i="1" s="1"/>
  <c r="K31" i="1"/>
  <c r="I9" i="1"/>
  <c r="K33" i="1"/>
  <c r="L15" i="1"/>
  <c r="K24" i="1"/>
  <c r="K28" i="1"/>
  <c r="K32" i="1"/>
  <c r="L32" i="1" s="1"/>
  <c r="L14" i="1"/>
  <c r="K25" i="1"/>
  <c r="K29" i="1"/>
  <c r="L29" i="1" s="1"/>
  <c r="L18" i="1"/>
  <c r="L17" i="1"/>
  <c r="L31" i="1"/>
  <c r="L23" i="1"/>
  <c r="L28" i="1"/>
  <c r="M34" i="1" l="1"/>
  <c r="M30" i="1"/>
  <c r="H30" i="1" s="1"/>
  <c r="I30" i="1" s="1"/>
  <c r="J30" i="1" s="1"/>
  <c r="M26" i="1"/>
  <c r="M22" i="1"/>
  <c r="H22" i="1" s="1"/>
  <c r="I22" i="1" s="1"/>
  <c r="J22" i="1" s="1"/>
  <c r="M18" i="1"/>
  <c r="H18" i="1" s="1"/>
  <c r="I18" i="1" s="1"/>
  <c r="M29" i="1"/>
  <c r="H29" i="1" s="1"/>
  <c r="I29" i="1" s="1"/>
  <c r="M21" i="1"/>
  <c r="M17" i="1"/>
  <c r="H17" i="1" s="1"/>
  <c r="I17" i="1" s="1"/>
  <c r="M32" i="1"/>
  <c r="H32" i="1" s="1"/>
  <c r="I32" i="1" s="1"/>
  <c r="M28" i="1"/>
  <c r="H28" i="1" s="1"/>
  <c r="I28" i="1" s="1"/>
  <c r="M20" i="1"/>
  <c r="H20" i="1" s="1"/>
  <c r="I20" i="1" s="1"/>
  <c r="M16" i="1"/>
  <c r="M31" i="1"/>
  <c r="H31" i="1" s="1"/>
  <c r="I31" i="1" s="1"/>
  <c r="M27" i="1"/>
  <c r="H27" i="1" s="1"/>
  <c r="I27" i="1" s="1"/>
  <c r="J27" i="1" s="1"/>
  <c r="M23" i="1"/>
  <c r="H23" i="1" s="1"/>
  <c r="I23" i="1" s="1"/>
  <c r="J23" i="1" s="1"/>
  <c r="M19" i="1"/>
  <c r="H19" i="1" s="1"/>
  <c r="I19" i="1" s="1"/>
  <c r="J19" i="1" s="1"/>
  <c r="M15" i="1"/>
  <c r="M14" i="1"/>
  <c r="H14" i="1" s="1"/>
  <c r="I14" i="1" s="1"/>
  <c r="J14" i="1" s="1"/>
  <c r="H16" i="1"/>
  <c r="I16" i="1" s="1"/>
  <c r="J16" i="1" s="1"/>
  <c r="L24" i="1"/>
  <c r="M24" i="1" s="1"/>
  <c r="L25" i="1"/>
  <c r="M25" i="1" s="1"/>
  <c r="L33" i="1"/>
  <c r="H26" i="1"/>
  <c r="I26" i="1" s="1"/>
  <c r="H34" i="1"/>
  <c r="I34" i="1" s="1"/>
  <c r="H21" i="1"/>
  <c r="I21" i="1" s="1"/>
  <c r="M33" i="1" l="1"/>
  <c r="H33" i="1" s="1"/>
  <c r="I33" i="1" s="1"/>
  <c r="J33" i="1" s="1"/>
  <c r="H25" i="1"/>
  <c r="I25" i="1" s="1"/>
  <c r="J25" i="1" s="1"/>
  <c r="H24" i="1"/>
  <c r="I24" i="1" s="1"/>
  <c r="J24" i="1" s="1"/>
  <c r="J21" i="1"/>
  <c r="J26" i="1"/>
  <c r="J31" i="1"/>
  <c r="J34" i="1"/>
  <c r="J17" i="1"/>
  <c r="J18" i="1"/>
  <c r="J29" i="1"/>
  <c r="J20" i="1"/>
  <c r="J32" i="1"/>
  <c r="J28" i="1"/>
  <c r="H15" i="1"/>
  <c r="I15" i="1" s="1"/>
  <c r="J15" i="1" l="1"/>
</calcChain>
</file>

<file path=xl/sharedStrings.xml><?xml version="1.0" encoding="utf-8"?>
<sst xmlns="http://schemas.openxmlformats.org/spreadsheetml/2006/main" count="60" uniqueCount="40">
  <si>
    <t>Declination</t>
  </si>
  <si>
    <t>Latitude</t>
  </si>
  <si>
    <t>Hour Angle</t>
  </si>
  <si>
    <t>Height</t>
  </si>
  <si>
    <t>Refraction</t>
  </si>
  <si>
    <t>Earth Radius</t>
  </si>
  <si>
    <t>Altitude (Dip)</t>
  </si>
  <si>
    <t>Dip (RAW)</t>
  </si>
  <si>
    <t>Moon Radius</t>
  </si>
  <si>
    <t>SunRadius</t>
  </si>
  <si>
    <t>Sun</t>
  </si>
  <si>
    <t>TOP MID BOTTOM</t>
  </si>
  <si>
    <t>MID</t>
  </si>
  <si>
    <t>Adjust Declination</t>
  </si>
  <si>
    <t>Moon Dist</t>
  </si>
  <si>
    <t>Sun Dist</t>
  </si>
  <si>
    <t>TOP</t>
  </si>
  <si>
    <t>TCB Adjust</t>
  </si>
  <si>
    <t>Parallelax</t>
  </si>
  <si>
    <t>Temperature</t>
  </si>
  <si>
    <t>Altitude + Parallelax</t>
  </si>
  <si>
    <t>Alt (Corrected)</t>
  </si>
  <si>
    <t>BOTTOM</t>
  </si>
  <si>
    <t>Constants</t>
  </si>
  <si>
    <t>E (Sun and Moon)</t>
  </si>
  <si>
    <t>I (Moon Only)</t>
  </si>
  <si>
    <t>Setting Angle</t>
  </si>
  <si>
    <t>Rise Azimuth Angle</t>
  </si>
  <si>
    <t>Moon Declination</t>
  </si>
  <si>
    <t>Site of Interest</t>
  </si>
  <si>
    <t>Terreatrial Refraction</t>
  </si>
  <si>
    <t>Sun and Moon Calculator</t>
  </si>
  <si>
    <t>Copyright David Hoyle 2020</t>
  </si>
  <si>
    <t>Fill Items in Yellow</t>
  </si>
  <si>
    <t>RESULTS</t>
  </si>
  <si>
    <t>SunDeclinAt3000BC</t>
  </si>
  <si>
    <t>SunDeclinAt2000BC</t>
  </si>
  <si>
    <t>Zenith</t>
  </si>
  <si>
    <t>Reverse Refraction (For reference)</t>
  </si>
  <si>
    <t>Age (3750 = 1750BC)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</si>
</sst>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0"/>
      <color theme="1"/>
      <name val="Arial Unicode MS"/>
    </font>
    <font>
      <b/>
      <u/>
      <sz val="11"/>
      <color theme="1"/>
      <name val="Calibri"/>
      <family val="2"/>
      <scheme val="minor"/>
    </font>
    <font>
      <b/>
      <u/>
      <sz val="20"/>
      <color rgb="FF002060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10"/>
      <color theme="1"/>
      <name val="Arial Unicode MS"/>
    </font>
    <font>
      <b/>
      <sz val="11"/>
      <color rgb="FF7030A0"/>
      <name val="Calibri"/>
      <family val="2"/>
      <scheme val="minor"/>
    </font>
    <font>
      <b/>
      <u/>
      <sz val="11"/>
      <color rgb="FF7030A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vertical="center"/>
    </xf>
    <xf numFmtId="0" fontId="6" fillId="2" borderId="0" xfId="0" applyFont="1" applyFill="1"/>
    <xf numFmtId="0" fontId="7" fillId="2" borderId="0" xfId="0" applyFont="1" applyFill="1"/>
    <xf numFmtId="0" fontId="2" fillId="3" borderId="0" xfId="0" applyFont="1" applyFill="1"/>
    <xf numFmtId="0" fontId="5" fillId="3" borderId="0" xfId="0" applyFont="1" applyFill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D7D26B-9C6F-4517-9A1A-47684834377B}">
  <dimension ref="A1:M34"/>
  <sheetViews>
    <sheetView tabSelected="1" workbookViewId="0">
      <selection activeCell="C10" sqref="C10"/>
    </sheetView>
  </sheetViews>
  <sheetFormatPr defaultRowHeight="14.6"/>
  <cols>
    <col min="1" max="1" width="12.4609375" bestFit="1" customWidth="1"/>
    <col min="2" max="2" width="11.15234375" customWidth="1"/>
    <col min="3" max="3" width="12.765625" bestFit="1" customWidth="1"/>
    <col min="4" max="4" width="12.23046875" bestFit="1" customWidth="1"/>
    <col min="5" max="5" width="11.15234375" customWidth="1"/>
    <col min="6" max="6" width="13.07421875" customWidth="1"/>
    <col min="7" max="7" width="16" bestFit="1" customWidth="1"/>
    <col min="8" max="8" width="15.921875" bestFit="1" customWidth="1"/>
    <col min="9" max="9" width="15.61328125" bestFit="1" customWidth="1"/>
    <col min="10" max="10" width="17.15234375" bestFit="1" customWidth="1"/>
    <col min="11" max="11" width="16.61328125" bestFit="1" customWidth="1"/>
    <col min="12" max="12" width="17.23046875" bestFit="1" customWidth="1"/>
    <col min="13" max="13" width="13.53515625" customWidth="1"/>
    <col min="14" max="14" width="17.23046875" bestFit="1" customWidth="1"/>
    <col min="15" max="15" width="15.07421875" bestFit="1" customWidth="1"/>
    <col min="16" max="16" width="10.4609375" bestFit="1" customWidth="1"/>
    <col min="17" max="17" width="9.84375" bestFit="1" customWidth="1"/>
    <col min="18" max="18" width="11.84375" bestFit="1" customWidth="1"/>
    <col min="19" max="19" width="17.23046875" bestFit="1" customWidth="1"/>
    <col min="20" max="21" width="13.3046875" customWidth="1"/>
    <col min="22" max="22" width="11.53515625" bestFit="1" customWidth="1"/>
    <col min="23" max="23" width="12.4609375" bestFit="1" customWidth="1"/>
    <col min="25" max="25" width="11.61328125" bestFit="1" customWidth="1"/>
  </cols>
  <sheetData>
    <row r="1" spans="1:13" ht="26.15">
      <c r="A1" s="3" t="s">
        <v>31</v>
      </c>
    </row>
    <row r="2" spans="1:13">
      <c r="A2" s="4" t="s">
        <v>32</v>
      </c>
    </row>
    <row r="3" spans="1:13">
      <c r="A3" s="2" t="s">
        <v>23</v>
      </c>
    </row>
    <row r="4" spans="1:13">
      <c r="A4" t="s">
        <v>5</v>
      </c>
      <c r="B4" t="s">
        <v>8</v>
      </c>
      <c r="C4" t="s">
        <v>9</v>
      </c>
      <c r="D4" t="s">
        <v>14</v>
      </c>
      <c r="E4" t="s">
        <v>15</v>
      </c>
      <c r="F4" t="s">
        <v>30</v>
      </c>
      <c r="H4" t="s">
        <v>19</v>
      </c>
      <c r="I4" t="s">
        <v>28</v>
      </c>
      <c r="J4" t="s">
        <v>35</v>
      </c>
      <c r="K4" t="s">
        <v>36</v>
      </c>
    </row>
    <row r="5" spans="1:13">
      <c r="A5" s="1">
        <v>6371000</v>
      </c>
      <c r="B5" s="1">
        <v>1737100</v>
      </c>
      <c r="C5" s="1">
        <v>696342000</v>
      </c>
      <c r="D5" s="1">
        <v>384399000</v>
      </c>
      <c r="E5" s="1">
        <v>149600000000</v>
      </c>
      <c r="F5">
        <f>7/6</f>
        <v>1.1666666666666667</v>
      </c>
      <c r="H5">
        <v>10</v>
      </c>
      <c r="I5">
        <v>5.1449999999999996</v>
      </c>
      <c r="J5">
        <v>24.03</v>
      </c>
      <c r="K5">
        <v>23.929200000000002</v>
      </c>
    </row>
    <row r="6" spans="1:13">
      <c r="A6" s="1"/>
      <c r="B6" s="1"/>
      <c r="C6" s="1"/>
      <c r="D6" s="1"/>
      <c r="E6" s="1"/>
    </row>
    <row r="7" spans="1:13">
      <c r="A7" s="5" t="s">
        <v>29</v>
      </c>
      <c r="B7" s="1" t="s">
        <v>33</v>
      </c>
      <c r="C7" s="1"/>
      <c r="D7" s="1"/>
      <c r="E7" s="1"/>
    </row>
    <row r="8" spans="1:13">
      <c r="A8" t="s">
        <v>1</v>
      </c>
      <c r="B8" t="s">
        <v>3</v>
      </c>
      <c r="C8" t="s">
        <v>39</v>
      </c>
      <c r="E8" s="1"/>
      <c r="F8" t="s">
        <v>0</v>
      </c>
      <c r="G8" t="s">
        <v>7</v>
      </c>
      <c r="H8" t="s">
        <v>6</v>
      </c>
      <c r="I8" t="s">
        <v>37</v>
      </c>
      <c r="J8" t="s">
        <v>4</v>
      </c>
      <c r="K8" t="s">
        <v>38</v>
      </c>
    </row>
    <row r="9" spans="1:13">
      <c r="A9" s="8">
        <v>58.197535000000002</v>
      </c>
      <c r="B9" s="8">
        <v>23.496799999999499</v>
      </c>
      <c r="C9" s="9">
        <v>3750</v>
      </c>
      <c r="E9" s="1"/>
      <c r="F9">
        <f>K$5+((J$5-K$5)/1000)*(C$9-4000)</f>
        <v>23.904000000000003</v>
      </c>
      <c r="G9">
        <f>DEGREES(ACOS(1-B$9/A$5))</f>
        <v>0.15561029330972004</v>
      </c>
      <c r="H9">
        <f>-DEGREES(ACOS(1-B$9/A$5/F$5))</f>
        <v>-0.14406713095045023</v>
      </c>
      <c r="I9">
        <f>90-H9</f>
        <v>90.144067130950447</v>
      </c>
      <c r="J9">
        <f>1/TAN(RADIANS(H$9+7.31/(H$9+4.4)))</f>
        <v>36.402983409235034</v>
      </c>
      <c r="K9">
        <f>1.02/TAN(RADIANS((H9-J9/60)+10.3/((H9-J9/60)+5.11)))</f>
        <v>36.243992811071195</v>
      </c>
    </row>
    <row r="10" spans="1:13">
      <c r="B10" s="1"/>
      <c r="C10" s="1"/>
      <c r="D10" s="1"/>
      <c r="E10" s="1"/>
    </row>
    <row r="12" spans="1:13">
      <c r="I12" s="7" t="s">
        <v>34</v>
      </c>
      <c r="J12" s="7" t="s">
        <v>34</v>
      </c>
    </row>
    <row r="13" spans="1:13">
      <c r="A13" t="s">
        <v>10</v>
      </c>
      <c r="B13" t="s">
        <v>11</v>
      </c>
      <c r="C13" t="s">
        <v>24</v>
      </c>
      <c r="D13" t="s">
        <v>25</v>
      </c>
      <c r="E13" t="s">
        <v>17</v>
      </c>
      <c r="F13" t="s">
        <v>13</v>
      </c>
      <c r="G13" t="s">
        <v>7</v>
      </c>
      <c r="H13" t="s">
        <v>2</v>
      </c>
      <c r="I13" s="6" t="s">
        <v>27</v>
      </c>
      <c r="J13" s="6" t="s">
        <v>26</v>
      </c>
      <c r="K13" t="s">
        <v>18</v>
      </c>
      <c r="L13" t="s">
        <v>20</v>
      </c>
      <c r="M13" t="s">
        <v>21</v>
      </c>
    </row>
    <row r="14" spans="1:13">
      <c r="A14" s="1" t="b">
        <v>1</v>
      </c>
      <c r="B14" t="s">
        <v>16</v>
      </c>
      <c r="C14">
        <v>-1</v>
      </c>
      <c r="D14">
        <v>1</v>
      </c>
      <c r="E14">
        <f>DEGREES(IF(A14,ATAN(C$5/E$5)*IF(B14="TOP",1,IF(B14="BOTTOM",-1,0)),ATAN(B$5/D$5)*IF(B14="TOP",1,IF(B14="BOTTOM",-1,0))))</f>
        <v>0.26669230989201381</v>
      </c>
      <c r="F14" s="1">
        <f>F$9*C14+E14+IF(A14,0,D14*I$5)</f>
        <v>-23.637307690107988</v>
      </c>
      <c r="G14">
        <f>DEGREES(ACOS(1-B$9/A$5))</f>
        <v>0.15561029330972004</v>
      </c>
      <c r="H14">
        <f>DEGREES(ACOS((SIN(RADIANS(M14))-(SIN(RADIANS(F14))*SIN(RADIANS(A$9))))/(COS(RADIANS(F14))*COS(RADIANS(A$9)))))</f>
        <v>47.260039430432613</v>
      </c>
      <c r="I14" s="6">
        <f>DEGREES(ACOS((SIN(RADIANS(F14))*COS(RADIANS(A$9))-COS(RADIANS(H14))*COS(RADIANS(F14))*SIN(RADIANS(A$9)))/SIN(RADIANS(I$9))))</f>
        <v>137.704984003373</v>
      </c>
      <c r="J14" s="6">
        <f>360-I14</f>
        <v>222.295015996627</v>
      </c>
      <c r="K14">
        <f>DEGREES(IF(A14,0,ATAN(A$5/D$5)*COS(RADIANS(H$9))))</f>
        <v>0</v>
      </c>
      <c r="L14">
        <f>H$9+K14</f>
        <v>-0.14406713095045023</v>
      </c>
      <c r="M14">
        <f>-J$9/60+L14</f>
        <v>-0.75078352110436741</v>
      </c>
    </row>
    <row r="15" spans="1:13">
      <c r="A15" s="1" t="b">
        <v>1</v>
      </c>
      <c r="B15" t="s">
        <v>12</v>
      </c>
      <c r="C15">
        <v>-1</v>
      </c>
      <c r="D15">
        <v>1</v>
      </c>
      <c r="E15">
        <f>DEGREES(IF(A15,ATAN(C$5/E$5)*IF(B15="TOP",1,IF(B15="BOTTOM",-1,0)),ATAN(B$5/D$5)*IF(B15="TOP",1,IF(B15="BOTTOM",-1,0))))</f>
        <v>0</v>
      </c>
      <c r="F15" s="1">
        <f>F$9*C15+E15+IF(A15,0,D15*I$5)</f>
        <v>-23.904000000000003</v>
      </c>
      <c r="G15">
        <f>DEGREES(ACOS(1-B$9/A$5))</f>
        <v>0.15561029330972004</v>
      </c>
      <c r="H15">
        <f>DEGREES(ACOS((SIN(RADIANS(M15))-(SIN(RADIANS(F15))*SIN(RADIANS(A$9))))/(COS(RADIANS(F15))*COS(RADIANS(A$9)))))</f>
        <v>46.56122730850565</v>
      </c>
      <c r="I15" s="6">
        <f>DEGREES(ACOS((SIN(RADIANS(F15))*COS(RADIANS(A$9))-COS(RADIANS(H15))*COS(RADIANS(F15))*SIN(RADIANS(A$9)))/SIN(RADIANS(I$9))))</f>
        <v>138.39782250627982</v>
      </c>
      <c r="J15" s="6">
        <f>360-I15</f>
        <v>221.60217749372018</v>
      </c>
      <c r="K15">
        <f>DEGREES(IF(A15,0,ATAN(A$5/D$5)*COS(RADIANS(H$9))))</f>
        <v>0</v>
      </c>
      <c r="L15">
        <f>H$9+K15</f>
        <v>-0.14406713095045023</v>
      </c>
      <c r="M15">
        <f>-J$9/60+L15</f>
        <v>-0.75078352110436741</v>
      </c>
    </row>
    <row r="16" spans="1:13">
      <c r="A16" s="1" t="b">
        <v>1</v>
      </c>
      <c r="B16" t="s">
        <v>22</v>
      </c>
      <c r="C16">
        <v>-1</v>
      </c>
      <c r="D16">
        <v>1</v>
      </c>
      <c r="E16">
        <f>DEGREES(IF(A16,ATAN(C$5/E$5)*IF(B16="TOP",1,IF(B16="BOTTOM",-1,0)),ATAN(B$5/D$5)*IF(B16="TOP",1,IF(B16="BOTTOM",-1,0))))</f>
        <v>-0.26669230989201381</v>
      </c>
      <c r="F16" s="1">
        <f>F$9*C16+E16+IF(A16,0,D16*I$5)</f>
        <v>-24.170692309892019</v>
      </c>
      <c r="G16">
        <f>DEGREES(ACOS(1-B$9/A$5))</f>
        <v>0.15561029330972004</v>
      </c>
      <c r="H16">
        <f>DEGREES(ACOS((SIN(RADIANS(M16))-(SIN(RADIANS(F16))*SIN(RADIANS(A$9))))/(COS(RADIANS(F16))*COS(RADIANS(A$9)))))</f>
        <v>45.851355501164853</v>
      </c>
      <c r="I16" s="6">
        <f>DEGREES(ACOS((SIN(RADIANS(F16))*COS(RADIANS(A$9))-COS(RADIANS(H16))*COS(RADIANS(F16))*SIN(RADIANS(A$9)))/SIN(RADIANS(I$9))))</f>
        <v>139.09877067276156</v>
      </c>
      <c r="J16" s="6">
        <f>360-I16</f>
        <v>220.90122932723844</v>
      </c>
      <c r="K16">
        <f>DEGREES(IF(A16,0,ATAN(A$5/D$5)*COS(RADIANS(H$9))))</f>
        <v>0</v>
      </c>
      <c r="L16">
        <f>H$9+K16</f>
        <v>-0.14406713095045023</v>
      </c>
      <c r="M16">
        <f>-J$9/60+L16</f>
        <v>-0.75078352110436741</v>
      </c>
    </row>
    <row r="17" spans="1:13">
      <c r="A17" s="1" t="b">
        <v>1</v>
      </c>
      <c r="B17" t="s">
        <v>16</v>
      </c>
      <c r="C17">
        <v>1</v>
      </c>
      <c r="D17">
        <v>1</v>
      </c>
      <c r="E17">
        <f>DEGREES(IF(A17,ATAN(C$5/E$5)*IF(B17="TOP",1,IF(B17="BOTTOM",-1,0)),ATAN(B$5/D$5)*IF(B17="TOP",1,IF(B17="BOTTOM",-1,0))))</f>
        <v>0.26669230989201381</v>
      </c>
      <c r="F17" s="1">
        <f>F$9*C17+E17+IF(A17,0,D17*I$5)</f>
        <v>24.170692309892019</v>
      </c>
      <c r="G17">
        <f>DEGREES(ACOS(1-B$9/A$5))</f>
        <v>0.15561029330972004</v>
      </c>
      <c r="H17">
        <f>DEGREES(ACOS((SIN(RADIANS(M17))-(SIN(RADIANS(F17))*SIN(RADIANS(A$9))))/(COS(RADIANS(F17))*COS(RADIANS(A$9)))))</f>
        <v>138.67962640946223</v>
      </c>
      <c r="I17" s="6">
        <f>DEGREES(ACOS((SIN(RADIANS(F17))*COS(RADIANS(A$9))-COS(RADIANS(H17))*COS(RADIANS(F17))*SIN(RADIANS(A$9)))/SIN(RADIANS(I$9))))</f>
        <v>37.050733033365333</v>
      </c>
      <c r="J17" s="6">
        <f>360-I17</f>
        <v>322.9492669666347</v>
      </c>
      <c r="K17">
        <f>DEGREES(IF(A17,0,ATAN(A$5/D$5)*COS(RADIANS(H$9))))</f>
        <v>0</v>
      </c>
      <c r="L17">
        <f>H$9+K17</f>
        <v>-0.14406713095045023</v>
      </c>
      <c r="M17">
        <f>-J$9/60+L17</f>
        <v>-0.75078352110436741</v>
      </c>
    </row>
    <row r="18" spans="1:13">
      <c r="A18" s="1" t="b">
        <v>1</v>
      </c>
      <c r="B18" t="s">
        <v>12</v>
      </c>
      <c r="C18">
        <v>1</v>
      </c>
      <c r="D18">
        <v>1</v>
      </c>
      <c r="E18">
        <f>DEGREES(IF(A18,ATAN(C$5/E$5)*IF(B18="TOP",1,IF(B18="BOTTOM",-1,0)),ATAN(B$5/D$5)*IF(B18="TOP",1,IF(B18="BOTTOM",-1,0))))</f>
        <v>0</v>
      </c>
      <c r="F18" s="1">
        <f>F$9*C18+E18+IF(A18,0,D18*I$5)</f>
        <v>23.904000000000003</v>
      </c>
      <c r="G18">
        <f>DEGREES(ACOS(1-B$9/A$5))</f>
        <v>0.15561029330972004</v>
      </c>
      <c r="H18">
        <f>DEGREES(ACOS((SIN(RADIANS(M18))-(SIN(RADIANS(F18))*SIN(RADIANS(A$9))))/(COS(RADIANS(F18))*COS(RADIANS(A$9)))))</f>
        <v>137.89977022600274</v>
      </c>
      <c r="I18" s="6">
        <f>DEGREES(ACOS((SIN(RADIANS(F18))*COS(RADIANS(A$9))-COS(RADIANS(H18))*COS(RADIANS(F18))*SIN(RADIANS(A$9)))/SIN(RADIANS(I$9))))</f>
        <v>37.811147334246812</v>
      </c>
      <c r="J18" s="6">
        <f>360-I18</f>
        <v>322.18885266575319</v>
      </c>
      <c r="K18">
        <f>DEGREES(IF(A18,0,ATAN(A$5/D$5)*COS(RADIANS(H$9))))</f>
        <v>0</v>
      </c>
      <c r="L18">
        <f>H$9+K18</f>
        <v>-0.14406713095045023</v>
      </c>
      <c r="M18">
        <f>-J$9/60+L18</f>
        <v>-0.75078352110436741</v>
      </c>
    </row>
    <row r="19" spans="1:13">
      <c r="A19" s="1" t="b">
        <v>1</v>
      </c>
      <c r="B19" t="s">
        <v>22</v>
      </c>
      <c r="C19">
        <v>1</v>
      </c>
      <c r="D19">
        <v>1</v>
      </c>
      <c r="E19">
        <f>DEGREES(IF(A19,ATAN(C$5/E$5)*IF(B19="TOP",1,IF(B19="BOTTOM",-1,0)),ATAN(B$5/D$5)*IF(B19="TOP",1,IF(B19="BOTTOM",-1,0))))</f>
        <v>-0.26669230989201381</v>
      </c>
      <c r="F19" s="1">
        <f>F$9*C19+E19+IF(A19,0,D19*I$5)</f>
        <v>23.637307690107988</v>
      </c>
      <c r="G19">
        <f>DEGREES(ACOS(1-B$9/A$5))</f>
        <v>0.15561029330972004</v>
      </c>
      <c r="H19">
        <f>DEGREES(ACOS((SIN(RADIANS(M19))-(SIN(RADIANS(F19))*SIN(RADIANS(A$9))))/(COS(RADIANS(F19))*COS(RADIANS(A$9)))))</f>
        <v>137.13467942018724</v>
      </c>
      <c r="I19" s="6">
        <f>DEGREES(ACOS((SIN(RADIANS(F19))*COS(RADIANS(A$9))-COS(RADIANS(H19))*COS(RADIANS(F19))*SIN(RADIANS(A$9)))/SIN(RADIANS(I$9))))</f>
        <v>38.560303561803664</v>
      </c>
      <c r="J19" s="6">
        <f>360-I19</f>
        <v>321.43969643819634</v>
      </c>
      <c r="K19">
        <f>DEGREES(IF(A19,0,ATAN(A$5/D$5)*COS(RADIANS(H$9))))</f>
        <v>0</v>
      </c>
      <c r="L19">
        <f>H$9+K19</f>
        <v>-0.14406713095045023</v>
      </c>
      <c r="M19">
        <f>-J$9/60+L19</f>
        <v>-0.75078352110436741</v>
      </c>
    </row>
    <row r="20" spans="1:13">
      <c r="A20" s="1" t="b">
        <v>1</v>
      </c>
      <c r="B20" t="s">
        <v>16</v>
      </c>
      <c r="C20">
        <v>0</v>
      </c>
      <c r="D20">
        <v>1</v>
      </c>
      <c r="E20">
        <f>DEGREES(IF(A20,ATAN(C$5/E$5)*IF(B20="TOP",1,IF(B20="BOTTOM",-1,0)),ATAN(B$5/D$5)*IF(B20="TOP",1,IF(B20="BOTTOM",-1,0))))</f>
        <v>0.26669230989201381</v>
      </c>
      <c r="F20" s="1">
        <f>F$9*C20+E20+IF(A20,0,D20*I$5)</f>
        <v>0.26669230989201381</v>
      </c>
      <c r="G20">
        <f>DEGREES(ACOS(1-B$9/A$5))</f>
        <v>0.15561029330972004</v>
      </c>
      <c r="H20">
        <f>DEGREES(ACOS((SIN(RADIANS(M20))-(SIN(RADIANS(F20))*SIN(RADIANS(A$9))))/(COS(RADIANS(F20))*COS(RADIANS(A$9)))))</f>
        <v>91.85504850818073</v>
      </c>
      <c r="I20" s="6">
        <f>DEGREES(ACOS((SIN(RADIANS(F20))*COS(RADIANS(A$9))-COS(RADIANS(H20))*COS(RADIANS(F20))*SIN(RADIANS(A$9)))/SIN(RADIANS(I$9))))</f>
        <v>88.282935647129349</v>
      </c>
      <c r="J20" s="6">
        <f>360-I20</f>
        <v>271.71706435287064</v>
      </c>
      <c r="K20">
        <f>DEGREES(IF(A20,0,ATAN(A$5/D$5)*COS(RADIANS(H$9))))</f>
        <v>0</v>
      </c>
      <c r="L20">
        <f>H$9+K20</f>
        <v>-0.14406713095045023</v>
      </c>
      <c r="M20">
        <f>-J$9/60+L20</f>
        <v>-0.75078352110436741</v>
      </c>
    </row>
    <row r="21" spans="1:13">
      <c r="A21" s="1" t="b">
        <v>1</v>
      </c>
      <c r="B21" t="s">
        <v>12</v>
      </c>
      <c r="C21">
        <v>0</v>
      </c>
      <c r="D21">
        <v>1</v>
      </c>
      <c r="E21">
        <f>DEGREES(IF(A21,ATAN(C$5/E$5)*IF(B21="TOP",1,IF(B21="BOTTOM",-1,0)),ATAN(B$5/D$5)*IF(B21="TOP",1,IF(B21="BOTTOM",-1,0))))</f>
        <v>0</v>
      </c>
      <c r="F21" s="1">
        <f>F$9*C21+E21+IF(A21,0,D21*I$5)</f>
        <v>0</v>
      </c>
      <c r="G21">
        <f>DEGREES(ACOS(1-B$9/A$5))</f>
        <v>0.15561029330972004</v>
      </c>
      <c r="H21">
        <f>DEGREES(ACOS((SIN(RADIANS(M21))-(SIN(RADIANS(F21))*SIN(RADIANS(A$9))))/(COS(RADIANS(F21))*COS(RADIANS(A$9)))))</f>
        <v>91.424763378806801</v>
      </c>
      <c r="I21" s="6">
        <f>DEGREES(ACOS((SIN(RADIANS(F21))*COS(RADIANS(A$9))-COS(RADIANS(H21))*COS(RADIANS(F21))*SIN(RADIANS(A$9)))/SIN(RADIANS(I$9))))</f>
        <v>88.789167151655079</v>
      </c>
      <c r="J21" s="6">
        <f>360-I21</f>
        <v>271.21083284834492</v>
      </c>
      <c r="K21">
        <f>DEGREES(IF(A21,0,ATAN(A$5/D$5)*COS(RADIANS(H$9))))</f>
        <v>0</v>
      </c>
      <c r="L21">
        <f>H$9+K21</f>
        <v>-0.14406713095045023</v>
      </c>
      <c r="M21">
        <f>-J$9/60+L21</f>
        <v>-0.75078352110436741</v>
      </c>
    </row>
    <row r="22" spans="1:13">
      <c r="A22" s="1" t="b">
        <v>1</v>
      </c>
      <c r="B22" t="s">
        <v>22</v>
      </c>
      <c r="C22">
        <v>0</v>
      </c>
      <c r="D22">
        <v>1</v>
      </c>
      <c r="E22">
        <f>DEGREES(IF(A22,ATAN(C$5/E$5)*IF(B22="TOP",1,IF(B22="BOTTOM",-1,0)),ATAN(B$5/D$5)*IF(B22="TOP",1,IF(B22="BOTTOM",-1,0))))</f>
        <v>-0.26669230989201381</v>
      </c>
      <c r="F22" s="1">
        <f>F$9*C22+E22+IF(A22,0,D22*I$5)</f>
        <v>-0.26669230989201381</v>
      </c>
      <c r="G22">
        <f>DEGREES(ACOS(1-B$9/A$5))</f>
        <v>0.15561029330972004</v>
      </c>
      <c r="H22">
        <f>DEGREES(ACOS((SIN(RADIANS(M22))-(SIN(RADIANS(F22))*SIN(RADIANS(A$9))))/(COS(RADIANS(F22))*COS(RADIANS(A$9)))))</f>
        <v>90.994589477827205</v>
      </c>
      <c r="I22" s="6">
        <f>DEGREES(ACOS((SIN(RADIANS(F22))*COS(RADIANS(A$9))-COS(RADIANS(H22))*COS(RADIANS(F22))*SIN(RADIANS(A$9)))/SIN(RADIANS(I$9))))</f>
        <v>89.295304133732813</v>
      </c>
      <c r="J22" s="6">
        <f>360-I22</f>
        <v>270.70469586626717</v>
      </c>
      <c r="K22">
        <f>DEGREES(IF(A22,0,ATAN(A$5/D$5)*COS(RADIANS(H$9))))</f>
        <v>0</v>
      </c>
      <c r="L22">
        <f>H$9+K22</f>
        <v>-0.14406713095045023</v>
      </c>
      <c r="M22">
        <f>-J$9/60+L22</f>
        <v>-0.75078352110436741</v>
      </c>
    </row>
    <row r="23" spans="1:13">
      <c r="A23" s="1" t="b">
        <v>0</v>
      </c>
      <c r="B23" t="s">
        <v>16</v>
      </c>
      <c r="C23">
        <v>1</v>
      </c>
      <c r="D23">
        <v>1</v>
      </c>
      <c r="E23">
        <f>DEGREES(IF(A23,ATAN(C$5/E$5)*IF(B23="TOP",1,IF(B23="BOTTOM",-1,0)),ATAN(B$5/D$5)*IF(B23="TOP",1,IF(B23="BOTTOM",-1,0))))</f>
        <v>0.25891800212095539</v>
      </c>
      <c r="F23" s="1">
        <f>F$9*C23+E23+IF(A23,0,D23*I$5)</f>
        <v>29.30791800212096</v>
      </c>
      <c r="G23">
        <f>DEGREES(ACOS(1-B$9/A$5))</f>
        <v>0.15561029330972004</v>
      </c>
      <c r="H23">
        <f>DEGREES(ACOS((SIN(RADIANS(M23))-(SIN(RADIANS(F23))*SIN(RADIANS(A$9))))/(COS(RADIANS(F23))*COS(RADIANS(A$9)))))</f>
        <v>153.86239341342716</v>
      </c>
      <c r="I23" s="6">
        <f>DEGREES(ACOS((SIN(RADIANS(F23))*COS(RADIANS(A$9))-COS(RADIANS(H23))*COS(RADIANS(F23))*SIN(RADIANS(A$9)))/SIN(RADIANS(I$9))))</f>
        <v>22.590995036139532</v>
      </c>
      <c r="J23" s="6">
        <f>360-I23</f>
        <v>337.40900496386047</v>
      </c>
      <c r="K23">
        <f>DEGREES(IF(A23,0,ATAN(A$5/D$5)*COS(RADIANS(H$9))))</f>
        <v>0.94952598432835078</v>
      </c>
      <c r="L23">
        <f>H$9+K23</f>
        <v>0.80545885337790057</v>
      </c>
      <c r="M23">
        <f>-J$9/60+L23</f>
        <v>0.19874246322398337</v>
      </c>
    </row>
    <row r="24" spans="1:13">
      <c r="A24" s="1" t="b">
        <v>0</v>
      </c>
      <c r="B24" t="s">
        <v>12</v>
      </c>
      <c r="C24">
        <v>1</v>
      </c>
      <c r="D24">
        <v>1</v>
      </c>
      <c r="E24">
        <f>DEGREES(IF(A24,ATAN(C$5/E$5)*IF(B24="TOP",1,IF(B24="BOTTOM",-1,0)),ATAN(B$5/D$5)*IF(B24="TOP",1,IF(B24="BOTTOM",-1,0))))</f>
        <v>0</v>
      </c>
      <c r="F24" s="1">
        <f>F$9*C24+E24+IF(A24,0,D24*I$5)</f>
        <v>29.049000000000003</v>
      </c>
      <c r="G24">
        <f>DEGREES(ACOS(1-B$9/A$5))</f>
        <v>0.15561029330972004</v>
      </c>
      <c r="H24">
        <f>DEGREES(ACOS((SIN(RADIANS(M24))-(SIN(RADIANS(F24))*SIN(RADIANS(A$9))))/(COS(RADIANS(F24))*COS(RADIANS(A$9)))))</f>
        <v>152.6476361691652</v>
      </c>
      <c r="I24" s="6">
        <f>DEGREES(ACOS((SIN(RADIANS(F24))*COS(RADIANS(A$9))-COS(RADIANS(H24))*COS(RADIANS(F24))*SIN(RADIANS(A$9)))/SIN(RADIANS(I$9))))</f>
        <v>23.682732669262499</v>
      </c>
      <c r="J24" s="6">
        <f>360-I24</f>
        <v>336.31726733073748</v>
      </c>
      <c r="K24">
        <f>DEGREES(IF(A24,0,ATAN(A$5/D$5)*COS(RADIANS(H$9))))</f>
        <v>0.94952598432835078</v>
      </c>
      <c r="L24">
        <f>H$9+K24</f>
        <v>0.80545885337790057</v>
      </c>
      <c r="M24">
        <f>-J$9/60+L24</f>
        <v>0.19874246322398337</v>
      </c>
    </row>
    <row r="25" spans="1:13">
      <c r="A25" s="1" t="b">
        <v>0</v>
      </c>
      <c r="B25" t="s">
        <v>22</v>
      </c>
      <c r="C25">
        <v>1</v>
      </c>
      <c r="D25">
        <v>1</v>
      </c>
      <c r="E25">
        <f>DEGREES(IF(A25,ATAN(C$5/E$5)*IF(B25="TOP",1,IF(B25="BOTTOM",-1,0)),ATAN(B$5/D$5)*IF(B25="TOP",1,IF(B25="BOTTOM",-1,0))))</f>
        <v>-0.25891800212095539</v>
      </c>
      <c r="F25" s="1">
        <f>F$9*C25+E25+IF(A25,0,D25*I$5)</f>
        <v>28.790081997879046</v>
      </c>
      <c r="G25">
        <f>DEGREES(ACOS(1-B$9/A$5))</f>
        <v>0.15561029330972004</v>
      </c>
      <c r="H25">
        <f>DEGREES(ACOS((SIN(RADIANS(M25))-(SIN(RADIANS(F25))*SIN(RADIANS(A$9))))/(COS(RADIANS(F25))*COS(RADIANS(A$9)))))</f>
        <v>151.48646651734958</v>
      </c>
      <c r="I25" s="6">
        <f>DEGREES(ACOS((SIN(RADIANS(F25))*COS(RADIANS(A$9))-COS(RADIANS(H25))*COS(RADIANS(F25))*SIN(RADIANS(A$9)))/SIN(RADIANS(I$9))))</f>
        <v>24.731547982649797</v>
      </c>
      <c r="J25" s="6">
        <f>360-I25</f>
        <v>335.26845201735023</v>
      </c>
      <c r="K25">
        <f>DEGREES(IF(A25,0,ATAN(A$5/D$5)*COS(RADIANS(H$9))))</f>
        <v>0.94952598432835078</v>
      </c>
      <c r="L25">
        <f>H$9+K25</f>
        <v>0.80545885337790057</v>
      </c>
      <c r="M25">
        <f>-J$9/60+L25</f>
        <v>0.19874246322398337</v>
      </c>
    </row>
    <row r="26" spans="1:13">
      <c r="A26" s="1" t="b">
        <v>0</v>
      </c>
      <c r="B26" t="s">
        <v>16</v>
      </c>
      <c r="C26">
        <v>1</v>
      </c>
      <c r="D26">
        <v>-1</v>
      </c>
      <c r="E26">
        <f>DEGREES(IF(A26,ATAN(C$5/E$5)*IF(B26="TOP",1,IF(B26="BOTTOM",-1,0)),ATAN(B$5/D$5)*IF(B26="TOP",1,IF(B26="BOTTOM",-1,0))))</f>
        <v>0.25891800212095539</v>
      </c>
      <c r="F26" s="1">
        <f>F$9*C26+E26+IF(A26,0,D26*I$5)</f>
        <v>19.017918002120961</v>
      </c>
      <c r="G26">
        <f>DEGREES(ACOS(1-B$9/A$5))</f>
        <v>0.15561029330972004</v>
      </c>
      <c r="H26">
        <f>DEGREES(ACOS((SIN(RADIANS(M26))-(SIN(RADIANS(F26))*SIN(RADIANS(A$9))))/(COS(RADIANS(F26))*COS(RADIANS(A$9)))))</f>
        <v>123.29105605770813</v>
      </c>
      <c r="I26" s="6">
        <f>DEGREES(ACOS((SIN(RADIANS(F26))*COS(RADIANS(A$9))-COS(RADIANS(H26))*COS(RADIANS(F26))*SIN(RADIANS(A$9)))/SIN(RADIANS(I$9))))</f>
        <v>52.211066259768209</v>
      </c>
      <c r="J26" s="6">
        <f>360-I26</f>
        <v>307.78893374023181</v>
      </c>
      <c r="K26">
        <f>DEGREES(IF(A26,0,ATAN(A$5/D$5)*COS(RADIANS(H$9))))</f>
        <v>0.94952598432835078</v>
      </c>
      <c r="L26">
        <f>H$9+K26</f>
        <v>0.80545885337790057</v>
      </c>
      <c r="M26">
        <f>-J$9/60+L26</f>
        <v>0.19874246322398337</v>
      </c>
    </row>
    <row r="27" spans="1:13">
      <c r="A27" s="1" t="b">
        <v>0</v>
      </c>
      <c r="B27" t="s">
        <v>12</v>
      </c>
      <c r="C27">
        <v>1</v>
      </c>
      <c r="D27">
        <v>-1</v>
      </c>
      <c r="E27">
        <f>DEGREES(IF(A27,ATAN(C$5/E$5)*IF(B27="TOP",1,IF(B27="BOTTOM",-1,0)),ATAN(B$5/D$5)*IF(B27="TOP",1,IF(B27="BOTTOM",-1,0))))</f>
        <v>0</v>
      </c>
      <c r="F27" s="1">
        <f>F$9*C27+E27+IF(A27,0,D27*I$5)</f>
        <v>18.759000000000004</v>
      </c>
      <c r="G27">
        <f>DEGREES(ACOS(1-B$9/A$5))</f>
        <v>0.15561029330972004</v>
      </c>
      <c r="H27">
        <f>DEGREES(ACOS((SIN(RADIANS(M27))-(SIN(RADIANS(F27))*SIN(RADIANS(A$9))))/(COS(RADIANS(F27))*COS(RADIANS(A$9)))))</f>
        <v>122.73554527217769</v>
      </c>
      <c r="I27" s="6">
        <f>DEGREES(ACOS((SIN(RADIANS(F27))*COS(RADIANS(A$9))-COS(RADIANS(H27))*COS(RADIANS(F27))*SIN(RADIANS(A$9)))/SIN(RADIANS(I$9))))</f>
        <v>52.796976441141759</v>
      </c>
      <c r="J27" s="6">
        <f>360-I27</f>
        <v>307.20302355885826</v>
      </c>
      <c r="K27">
        <f>DEGREES(IF(A27,0,ATAN(A$5/D$5)*COS(RADIANS(H$9))))</f>
        <v>0.94952598432835078</v>
      </c>
      <c r="L27">
        <f>H$9+K27</f>
        <v>0.80545885337790057</v>
      </c>
      <c r="M27">
        <f>-J$9/60+L27</f>
        <v>0.19874246322398337</v>
      </c>
    </row>
    <row r="28" spans="1:13">
      <c r="A28" s="1" t="b">
        <v>0</v>
      </c>
      <c r="B28" t="s">
        <v>22</v>
      </c>
      <c r="C28">
        <v>1</v>
      </c>
      <c r="D28">
        <v>-1</v>
      </c>
      <c r="E28">
        <f>DEGREES(IF(A28,ATAN(C$5/E$5)*IF(B28="TOP",1,IF(B28="BOTTOM",-1,0)),ATAN(B$5/D$5)*IF(B28="TOP",1,IF(B28="BOTTOM",-1,0))))</f>
        <v>-0.25891800212095539</v>
      </c>
      <c r="F28" s="1">
        <f>F$9*C28+E28+IF(A28,0,D28*I$5)</f>
        <v>18.500081997879047</v>
      </c>
      <c r="G28">
        <f>DEGREES(ACOS(1-B$9/A$5))</f>
        <v>0.15561029330972004</v>
      </c>
      <c r="H28">
        <f>DEGREES(ACOS((SIN(RADIANS(M28))-(SIN(RADIANS(F28))*SIN(RADIANS(A$9))))/(COS(RADIANS(F28))*COS(RADIANS(A$9)))))</f>
        <v>122.18515296228</v>
      </c>
      <c r="I28" s="6">
        <f>DEGREES(ACOS((SIN(RADIANS(F28))*COS(RADIANS(A$9))-COS(RADIANS(H28))*COS(RADIANS(F28))*SIN(RADIANS(A$9)))/SIN(RADIANS(I$9))))</f>
        <v>53.379262608117166</v>
      </c>
      <c r="J28" s="6">
        <f>360-I28</f>
        <v>306.62073739188281</v>
      </c>
      <c r="K28">
        <f>DEGREES(IF(A28,0,ATAN(A$5/D$5)*COS(RADIANS(H$9))))</f>
        <v>0.94952598432835078</v>
      </c>
      <c r="L28">
        <f>H$9+K28</f>
        <v>0.80545885337790057</v>
      </c>
      <c r="M28">
        <f>-J$9/60+L28</f>
        <v>0.19874246322398337</v>
      </c>
    </row>
    <row r="29" spans="1:13">
      <c r="A29" s="1" t="b">
        <v>0</v>
      </c>
      <c r="B29" t="s">
        <v>16</v>
      </c>
      <c r="C29">
        <v>-1</v>
      </c>
      <c r="D29">
        <v>1</v>
      </c>
      <c r="E29">
        <f>DEGREES(IF(A29,ATAN(C$5/E$5)*IF(B29="TOP",1,IF(B29="BOTTOM",-1,0)),ATAN(B$5/D$5)*IF(B29="TOP",1,IF(B29="BOTTOM",-1,0))))</f>
        <v>0.25891800212095539</v>
      </c>
      <c r="F29" s="1">
        <f>F$9*C29+E29+IF(A29,0,D29*I$5)</f>
        <v>-18.500081997879047</v>
      </c>
      <c r="G29">
        <f>DEGREES(ACOS(1-B$9/A$5))</f>
        <v>0.15561029330972004</v>
      </c>
      <c r="H29">
        <f>DEGREES(ACOS((SIN(RADIANS(M29))-(SIN(RADIANS(F29))*SIN(RADIANS(A$9))))/(COS(RADIANS(F29))*COS(RADIANS(A$9)))))</f>
        <v>56.870138754410547</v>
      </c>
      <c r="I29" s="6">
        <f>DEGREES(ACOS((SIN(RADIANS(F29))*COS(RADIANS(A$9))-COS(RADIANS(H29))*COS(RADIANS(F29))*SIN(RADIANS(A$9)))/SIN(RADIANS(I$9))))</f>
        <v>127.42361809650528</v>
      </c>
      <c r="J29" s="6">
        <f>360-I29</f>
        <v>232.57638190349473</v>
      </c>
      <c r="K29">
        <f>DEGREES(IF(A29,0,ATAN(A$5/D$5)*COS(RADIANS(H$9))))</f>
        <v>0.94952598432835078</v>
      </c>
      <c r="L29">
        <f>H$9+K29</f>
        <v>0.80545885337790057</v>
      </c>
      <c r="M29">
        <f>-J$9/60+L29</f>
        <v>0.19874246322398337</v>
      </c>
    </row>
    <row r="30" spans="1:13">
      <c r="A30" s="1" t="b">
        <v>0</v>
      </c>
      <c r="B30" t="s">
        <v>12</v>
      </c>
      <c r="C30">
        <v>-1</v>
      </c>
      <c r="D30">
        <v>1</v>
      </c>
      <c r="E30">
        <f>DEGREES(IF(A30,ATAN(C$5/E$5)*IF(B30="TOP",1,IF(B30="BOTTOM",-1,0)),ATAN(B$5/D$5)*IF(B30="TOP",1,IF(B30="BOTTOM",-1,0))))</f>
        <v>0</v>
      </c>
      <c r="F30" s="1">
        <f>F$9*C30+E30+IF(A30,0,D30*I$5)</f>
        <v>-18.759000000000004</v>
      </c>
      <c r="G30">
        <f>DEGREES(ACOS(1-B$9/A$5))</f>
        <v>0.15561029330972004</v>
      </c>
      <c r="H30">
        <f>DEGREES(ACOS((SIN(RADIANS(M30))-(SIN(RADIANS(F30))*SIN(RADIANS(A$9))))/(COS(RADIANS(F30))*COS(RADIANS(A$9)))))</f>
        <v>56.312360215184711</v>
      </c>
      <c r="I30" s="6">
        <f>DEGREES(ACOS((SIN(RADIANS(F30))*COS(RADIANS(A$9))-COS(RADIANS(H30))*COS(RADIANS(F30))*SIN(RADIANS(A$9)))/SIN(RADIANS(I$9))))</f>
        <v>128.01218163276334</v>
      </c>
      <c r="J30" s="6">
        <f>360-I30</f>
        <v>231.98781836723666</v>
      </c>
      <c r="K30">
        <f>DEGREES(IF(A30,0,ATAN(A$5/D$5)*COS(RADIANS(H$9))))</f>
        <v>0.94952598432835078</v>
      </c>
      <c r="L30">
        <f>H$9+K30</f>
        <v>0.80545885337790057</v>
      </c>
      <c r="M30">
        <f>-J$9/60+L30</f>
        <v>0.19874246322398337</v>
      </c>
    </row>
    <row r="31" spans="1:13">
      <c r="A31" s="1" t="b">
        <v>0</v>
      </c>
      <c r="B31" t="s">
        <v>22</v>
      </c>
      <c r="C31">
        <v>-1</v>
      </c>
      <c r="D31">
        <v>1</v>
      </c>
      <c r="E31">
        <f>DEGREES(IF(A31,ATAN(C$5/E$5)*IF(B31="TOP",1,IF(B31="BOTTOM",-1,0)),ATAN(B$5/D$5)*IF(B31="TOP",1,IF(B31="BOTTOM",-1,0))))</f>
        <v>-0.25891800212095539</v>
      </c>
      <c r="F31" s="1">
        <f>F$9*C31+E31+IF(A31,0,D31*I$5)</f>
        <v>-19.017918002120961</v>
      </c>
      <c r="G31">
        <f>DEGREES(ACOS(1-B$9/A$5))</f>
        <v>0.15561029330972004</v>
      </c>
      <c r="H31">
        <f>DEGREES(ACOS((SIN(RADIANS(M31))-(SIN(RADIANS(F31))*SIN(RADIANS(A$9))))/(COS(RADIANS(F31))*COS(RADIANS(A$9)))))</f>
        <v>55.749196554836914</v>
      </c>
      <c r="I31" s="6">
        <f>DEGREES(ACOS((SIN(RADIANS(F31))*COS(RADIANS(A$9))-COS(RADIANS(H31))*COS(RADIANS(F31))*SIN(RADIANS(A$9)))/SIN(RADIANS(I$9))))</f>
        <v>128.60459579923631</v>
      </c>
      <c r="J31" s="6">
        <f>360-I31</f>
        <v>231.39540420076369</v>
      </c>
      <c r="K31">
        <f>DEGREES(IF(A31,0,ATAN(A$5/D$5)*COS(RADIANS(H$9))))</f>
        <v>0.94952598432835078</v>
      </c>
      <c r="L31">
        <f>H$9+K31</f>
        <v>0.80545885337790057</v>
      </c>
      <c r="M31">
        <f>-J$9/60+L31</f>
        <v>0.19874246322398337</v>
      </c>
    </row>
    <row r="32" spans="1:13">
      <c r="A32" s="1" t="b">
        <v>0</v>
      </c>
      <c r="B32" t="s">
        <v>16</v>
      </c>
      <c r="C32">
        <v>-1</v>
      </c>
      <c r="D32">
        <v>-1</v>
      </c>
      <c r="E32">
        <f>DEGREES(IF(A32,ATAN(C$5/E$5)*IF(B32="TOP",1,IF(B32="BOTTOM",-1,0)),ATAN(B$5/D$5)*IF(B32="TOP",1,IF(B32="BOTTOM",-1,0))))</f>
        <v>0.25891800212095539</v>
      </c>
      <c r="F32" s="1">
        <f>F$9*C32+E32+IF(A32,0,D32*I$5)</f>
        <v>-28.790081997879046</v>
      </c>
      <c r="G32">
        <f>DEGREES(ACOS(1-B$9/A$5))</f>
        <v>0.15561029330972004</v>
      </c>
      <c r="H32">
        <f>DEGREES(ACOS((SIN(RADIANS(M32))-(SIN(RADIANS(F32))*SIN(RADIANS(A$9))))/(COS(RADIANS(F32))*COS(RADIANS(A$9)))))</f>
        <v>26.654839699213138</v>
      </c>
      <c r="I32" s="6">
        <f>DEGREES(ACOS((SIN(RADIANS(F32))*COS(RADIANS(A$9))-COS(RADIANS(H32))*COS(RADIANS(F32))*SIN(RADIANS(A$9)))/SIN(RADIANS(I$9))))</f>
        <v>156.84811120290641</v>
      </c>
      <c r="J32" s="6">
        <f>360-I32</f>
        <v>203.15188879709359</v>
      </c>
      <c r="K32">
        <f>DEGREES(IF(A32,0,ATAN(A$5/D$5)*COS(RADIANS(H$9))))</f>
        <v>0.94952598432835078</v>
      </c>
      <c r="L32">
        <f>H$9+K32</f>
        <v>0.80545885337790057</v>
      </c>
      <c r="M32">
        <f>-J$9/60+L32</f>
        <v>0.19874246322398337</v>
      </c>
    </row>
    <row r="33" spans="1:13">
      <c r="A33" s="1" t="b">
        <v>0</v>
      </c>
      <c r="B33" t="s">
        <v>12</v>
      </c>
      <c r="C33">
        <v>-1</v>
      </c>
      <c r="D33">
        <v>-1</v>
      </c>
      <c r="E33">
        <f>DEGREES(IF(A33,ATAN(C$5/E$5)*IF(B33="TOP",1,IF(B33="BOTTOM",-1,0)),ATAN(B$5/D$5)*IF(B33="TOP",1,IF(B33="BOTTOM",-1,0))))</f>
        <v>0</v>
      </c>
      <c r="F33" s="1">
        <f>F$9*C33+E33+IF(A33,0,D33*I$5)</f>
        <v>-29.049000000000003</v>
      </c>
      <c r="G33">
        <f>DEGREES(ACOS(1-B$9/A$5))</f>
        <v>0.15561029330972004</v>
      </c>
      <c r="H33">
        <f>DEGREES(ACOS((SIN(RADIANS(M33))-(SIN(RADIANS(F33))*SIN(RADIANS(A$9))))/(COS(RADIANS(F33))*COS(RADIANS(A$9)))))</f>
        <v>25.410573451021762</v>
      </c>
      <c r="I33" s="6">
        <f>DEGREES(ACOS((SIN(RADIANS(F33))*COS(RADIANS(A$9))-COS(RADIANS(H33))*COS(RADIANS(F33))*SIN(RADIANS(A$9)))/SIN(RADIANS(I$9))))</f>
        <v>157.96754936660858</v>
      </c>
      <c r="J33" s="6">
        <f>360-I33</f>
        <v>202.03245063339142</v>
      </c>
      <c r="K33">
        <f>DEGREES(IF(A33,0,ATAN(A$5/D$5)*COS(RADIANS(H$9))))</f>
        <v>0.94952598432835078</v>
      </c>
      <c r="L33">
        <f>H$9+K33</f>
        <v>0.80545885337790057</v>
      </c>
      <c r="M33">
        <f>-J$9/60+L33</f>
        <v>0.19874246322398337</v>
      </c>
    </row>
    <row r="34" spans="1:13">
      <c r="A34" s="1" t="b">
        <v>0</v>
      </c>
      <c r="B34" t="s">
        <v>22</v>
      </c>
      <c r="C34">
        <v>-1</v>
      </c>
      <c r="D34">
        <v>-1</v>
      </c>
      <c r="E34">
        <f>DEGREES(IF(A34,ATAN(C$5/E$5)*IF(B34="TOP",1,IF(B34="BOTTOM",-1,0)),ATAN(B$5/D$5)*IF(B34="TOP",1,IF(B34="BOTTOM",-1,0))))</f>
        <v>-0.25891800212095539</v>
      </c>
      <c r="F34" s="1">
        <f>F$9*C34+E34+IF(A34,0,D34*I$5)</f>
        <v>-29.30791800212096</v>
      </c>
      <c r="G34">
        <f>DEGREES(ACOS(1-B$9/A$5))</f>
        <v>0.15561029330972004</v>
      </c>
      <c r="H34">
        <f>DEGREES(ACOS((SIN(RADIANS(M34))-(SIN(RADIANS(F34))*SIN(RADIANS(A$9))))/(COS(RADIANS(F34))*COS(RADIANS(A$9)))))</f>
        <v>24.099870644758443</v>
      </c>
      <c r="I34" s="6">
        <f>DEGREES(ACOS((SIN(RADIANS(F34))*COS(RADIANS(A$9))-COS(RADIANS(H34))*COS(RADIANS(F34))*SIN(RADIANS(A$9)))/SIN(RADIANS(I$9))))</f>
        <v>159.14083020871388</v>
      </c>
      <c r="J34" s="6">
        <f>360-I34</f>
        <v>200.85916979128612</v>
      </c>
      <c r="K34">
        <f>DEGREES(IF(A34,0,ATAN(A$5/D$5)*COS(RADIANS(H$9))))</f>
        <v>0.94952598432835078</v>
      </c>
      <c r="L34">
        <f>H$9+K34</f>
        <v>0.80545885337790057</v>
      </c>
      <c r="M34">
        <f>-J$9/60+L34</f>
        <v>0.19874246322398337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Hoyle</dc:creator>
  <cp:lastModifiedBy>David Hoyle</cp:lastModifiedBy>
  <dcterms:created xsi:type="dcterms:W3CDTF">2020-03-14T07:07:35Z</dcterms:created>
  <dcterms:modified xsi:type="dcterms:W3CDTF">2020-03-16T07:48:32Z</dcterms:modified>
</cp:coreProperties>
</file>